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ayer1holdings.sharepoint.com/sites/Layer1HoldingsLLC/Shared Documents/05 Sales/01 Customer/gambitexchange.com/"/>
    </mc:Choice>
  </mc:AlternateContent>
  <xr:revisionPtr revIDLastSave="600" documentId="8_{E2DFA054-EE1A-402C-9FF2-61ED669F2D1C}" xr6:coauthVersionLast="47" xr6:coauthVersionMax="47" xr10:uidLastSave="{123E3E3B-A013-4F7B-94D2-6CAD1A4746E9}"/>
  <bookViews>
    <workbookView xWindow="36390" yWindow="5595" windowWidth="17085" windowHeight="9615" xr2:uid="{4CF29861-AD85-482C-868D-18AEF56B312A}"/>
  </bookViews>
  <sheets>
    <sheet name="Sheet1" sheetId="1" r:id="rId1"/>
  </sheets>
  <definedNames>
    <definedName name="Cost_CustULPanel">Sheet1!$B$38</definedName>
    <definedName name="Cost_Electric_BaseCharge">Sheet1!$G$6</definedName>
    <definedName name="Cost_Electric_DemandCharge">Sheet1!$G$10</definedName>
    <definedName name="Cost_Electric_EnergyCharge">Sheet1!$G$9</definedName>
    <definedName name="Cost_Miner">Sheet1!$A$6</definedName>
    <definedName name="CU_150KVA">Sheet1!$B$37</definedName>
    <definedName name="DCFROR">Sheet1!$A$2</definedName>
    <definedName name="Miners_Per_System">Sheet1!$A$18</definedName>
    <definedName name="MW_PerPanel">Sheet1!$G$18</definedName>
    <definedName name="Net_Cashflow_Monthly">Sheet1!$A$1</definedName>
    <definedName name="Panels">Sheet1!$A$16</definedName>
    <definedName name="Systems">Sheet1!#REF!</definedName>
    <definedName name="Transformer_3000KVA_Line13.8V_480V">Sheet1!$B$31</definedName>
    <definedName name="TransformersPerPanel">Sheet1!$A$19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7" i="1" l="1"/>
  <c r="G23" i="1"/>
  <c r="G19" i="1"/>
  <c r="E16" i="1"/>
  <c r="G13" i="1"/>
  <c r="D15" i="1" s="1"/>
  <c r="E15" i="1" s="1"/>
  <c r="G20" i="1" l="1"/>
  <c r="A20" i="1"/>
  <c r="G11" i="1"/>
  <c r="G15" i="1"/>
  <c r="G16" i="1" s="1"/>
  <c r="H4" i="1"/>
  <c r="H3" i="1"/>
  <c r="H2" i="1"/>
  <c r="G10" i="1" l="1"/>
  <c r="A18" i="1" l="1"/>
  <c r="G24" i="1" l="1"/>
  <c r="G25" i="1" s="1"/>
  <c r="G26" i="1" s="1"/>
  <c r="G21" i="1"/>
  <c r="G22" i="1" s="1"/>
  <c r="K18" i="1"/>
  <c r="G14" i="1"/>
  <c r="G18" i="1" l="1"/>
  <c r="G8" i="1" s="1"/>
  <c r="G9" i="1" s="1"/>
  <c r="G12" i="1" s="1"/>
  <c r="H11" i="1" s="1"/>
  <c r="G27" i="1" l="1"/>
  <c r="A1" i="1" s="1"/>
  <c r="H10" i="1"/>
  <c r="H9" i="1"/>
  <c r="H12" i="1" l="1"/>
</calcChain>
</file>

<file path=xl/sharedStrings.xml><?xml version="1.0" encoding="utf-8"?>
<sst xmlns="http://schemas.openxmlformats.org/spreadsheetml/2006/main" count="70" uniqueCount="65">
  <si>
    <t>V</t>
  </si>
  <si>
    <t>MIT-DRY-111</t>
  </si>
  <si>
    <t>MIT-DRY-114</t>
  </si>
  <si>
    <t>150KVA Transformer</t>
  </si>
  <si>
    <t>75KVA Transformer</t>
  </si>
  <si>
    <t>MIT-DRY-113</t>
  </si>
  <si>
    <t>112.5KVA Transformer</t>
  </si>
  <si>
    <t>MIT-DRY-111-CU</t>
  </si>
  <si>
    <t>MIT-DRY-113-CU</t>
  </si>
  <si>
    <t>MIT-DRY-114-CU</t>
  </si>
  <si>
    <t>First</t>
  </si>
  <si>
    <t>kWh</t>
  </si>
  <si>
    <t xml:space="preserve">Days per Month </t>
  </si>
  <si>
    <t>kwh/month</t>
  </si>
  <si>
    <t>per kW of Billing Demand</t>
  </si>
  <si>
    <t>Energy Charge</t>
  </si>
  <si>
    <t>Demand Charge</t>
  </si>
  <si>
    <t>Basic Charge</t>
  </si>
  <si>
    <t>BTC/Terahash</t>
  </si>
  <si>
    <t>Terahash/s</t>
  </si>
  <si>
    <t>BTC Price</t>
  </si>
  <si>
    <t>BTC/Day/Unit</t>
  </si>
  <si>
    <t>BTC/Day</t>
  </si>
  <si>
    <t>Years</t>
  </si>
  <si>
    <t>Property Cost</t>
  </si>
  <si>
    <t>Electricy Bill at MW Estimated</t>
  </si>
  <si>
    <t>PMT of DCCFROR</t>
  </si>
  <si>
    <t>Total Cost</t>
  </si>
  <si>
    <t>Systems</t>
  </si>
  <si>
    <t>Capital Cost/System</t>
  </si>
  <si>
    <t>Miner Cost</t>
  </si>
  <si>
    <t>Custom UL Panel Build</t>
  </si>
  <si>
    <t>Miners Per System</t>
  </si>
  <si>
    <t>Net Monthly Cash Flow</t>
  </si>
  <si>
    <t>Miners Per Panel</t>
  </si>
  <si>
    <t>Transformers Per Panel</t>
  </si>
  <si>
    <t>EE per Month</t>
  </si>
  <si>
    <t>EE cost per Month</t>
  </si>
  <si>
    <t>Total</t>
  </si>
  <si>
    <t>Miners</t>
  </si>
  <si>
    <t>Installation Factor</t>
  </si>
  <si>
    <t>Capital with Installation</t>
  </si>
  <si>
    <t>DCFROR</t>
  </si>
  <si>
    <t>$ Generated by Sale of BTC/Month</t>
  </si>
  <si>
    <t>Amps per S19</t>
  </si>
  <si>
    <t>Panels Per System</t>
  </si>
  <si>
    <t>Unit</t>
  </si>
  <si>
    <t>Tiered Price</t>
  </si>
  <si>
    <t>Price at Tier</t>
  </si>
  <si>
    <t>Description of Price</t>
  </si>
  <si>
    <t>MW/Panel</t>
  </si>
  <si>
    <t>KW/Panel</t>
  </si>
  <si>
    <t xml:space="preserve">Energy Inefficiency </t>
  </si>
  <si>
    <t>KW Total</t>
  </si>
  <si>
    <t>MW Total</t>
  </si>
  <si>
    <t>Base Charge</t>
  </si>
  <si>
    <t>Above</t>
  </si>
  <si>
    <t>Between</t>
  </si>
  <si>
    <t>240V Amps</t>
  </si>
  <si>
    <t>480V Safety Amp Rating per Panel</t>
  </si>
  <si>
    <t>Transformers Per System</t>
  </si>
  <si>
    <t>Terahash Inefficiency</t>
  </si>
  <si>
    <t>BTC Price That Justifies Solar Rates and Hours</t>
  </si>
  <si>
    <t>65kBTC 18DCFROR 30% Terahash Inefficiency</t>
  </si>
  <si>
    <t>3000KVA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</si>
</sst>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%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3" borderId="1" applyNumberFormat="0" applyAlignment="0" applyProtection="0"/>
  </cellStyleXfs>
  <cellXfs count="19">
    <xf numFmtId="0" fontId="0" fillId="0" borderId="0" xfId="0"/>
    <xf numFmtId="3" fontId="0" fillId="0" borderId="0" xfId="0" applyNumberFormat="1"/>
    <xf numFmtId="43" fontId="0" fillId="0" borderId="0" xfId="1" applyFont="1"/>
    <xf numFmtId="44" fontId="0" fillId="0" borderId="0" xfId="0" applyNumberFormat="1"/>
    <xf numFmtId="43" fontId="3" fillId="3" borderId="1" xfId="4" applyNumberFormat="1"/>
    <xf numFmtId="0" fontId="2" fillId="2" borderId="1" xfId="3"/>
    <xf numFmtId="0" fontId="3" fillId="3" borderId="1" xfId="4"/>
    <xf numFmtId="44" fontId="2" fillId="2" borderId="1" xfId="3" applyNumberFormat="1"/>
    <xf numFmtId="43" fontId="2" fillId="2" borderId="1" xfId="1" applyFont="1" applyFill="1" applyBorder="1"/>
    <xf numFmtId="165" fontId="2" fillId="2" borderId="1" xfId="1" applyNumberFormat="1" applyFont="1" applyFill="1" applyBorder="1"/>
    <xf numFmtId="8" fontId="3" fillId="3" borderId="1" xfId="4" applyNumberFormat="1"/>
    <xf numFmtId="10" fontId="3" fillId="3" borderId="1" xfId="2" applyNumberFormat="1" applyFont="1" applyFill="1" applyBorder="1"/>
    <xf numFmtId="10" fontId="3" fillId="3" borderId="1" xfId="4" applyNumberFormat="1"/>
    <xf numFmtId="9" fontId="2" fillId="2" borderId="1" xfId="2" applyFont="1" applyFill="1" applyBorder="1"/>
    <xf numFmtId="164" fontId="2" fillId="2" borderId="1" xfId="2" applyNumberFormat="1" applyFont="1" applyFill="1" applyBorder="1"/>
    <xf numFmtId="0" fontId="0" fillId="4" borderId="0" xfId="0" applyFill="1"/>
    <xf numFmtId="43" fontId="3" fillId="3" borderId="1" xfId="1" applyFont="1" applyFill="1" applyBorder="1"/>
    <xf numFmtId="0" fontId="3" fillId="5" borderId="1" xfId="4" applyFill="1"/>
    <xf numFmtId="0" fontId="0" fillId="6" borderId="0" xfId="0" applyFill="1"/>
  </cellXfs>
  <cellStyles count="5">
    <cellStyle name="Calculation" xfId="4" builtinId="22"/>
    <cellStyle name="Comma" xfId="1" builtinId="3"/>
    <cellStyle name="Input" xfId="3" builtinId="20"/>
    <cellStyle name="Normal" xfId="0" builtinId="0"/>
    <cellStyle name="Percent" xfId="2" builtinId="5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1" defaultTableStyle="TableStyleMedium2" defaultPivotStyle="PivotStyleLight16">
    <tableStyle name="Invisible" pivot="0" table="0" count="0" xr9:uid="{4F9F23AB-8BC2-4718-B540-9C98E272327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438150</xdr:colOff>
          <xdr:row>5</xdr:row>
          <xdr:rowOff>114300</xdr:rowOff>
        </xdr:from>
        <xdr:to>
          <xdr:col>2</xdr:col>
          <xdr:colOff>2143125</xdr:colOff>
          <xdr:row>7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Net0 based on DCFROR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98A7C-05F7-4C75-9E70-8B72769911FD}">
  <sheetPr codeName="Sheet1"/>
  <dimension ref="A1:K52"/>
  <sheetViews>
    <sheetView tabSelected="1" zoomScale="130" zoomScaleNormal="130" workbookViewId="0">
      <selection activeCell="D6" sqref="D6"/>
    </sheetView>
  </sheetViews>
  <sheetFormatPr defaultRowHeight="15" x14ac:dyDescent="0.25"/>
  <cols>
    <col min="1" max="1" width="29.140625" bestFit="1" customWidth="1"/>
    <col min="2" max="2" width="22" bestFit="1" customWidth="1"/>
    <col min="3" max="3" width="41" customWidth="1"/>
    <col min="4" max="4" width="13.28515625" bestFit="1" customWidth="1"/>
    <col min="5" max="5" width="9.85546875" bestFit="1" customWidth="1"/>
    <col min="6" max="6" width="13.5703125" bestFit="1" customWidth="1"/>
    <col min="7" max="7" width="18.85546875" bestFit="1" customWidth="1"/>
    <col min="8" max="8" width="51.7109375" bestFit="1" customWidth="1"/>
    <col min="9" max="9" width="31" bestFit="1" customWidth="1"/>
    <col min="10" max="10" width="12.5703125" bestFit="1" customWidth="1"/>
    <col min="11" max="11" width="21.85546875" bestFit="1" customWidth="1"/>
  </cols>
  <sheetData>
    <row r="1" spans="1:8" x14ac:dyDescent="0.25">
      <c r="A1" s="10">
        <f>G26+G27+G22-A8*A9</f>
        <v>0.99992084765108302</v>
      </c>
      <c r="B1" t="s">
        <v>33</v>
      </c>
      <c r="E1" t="s">
        <v>47</v>
      </c>
      <c r="F1" t="s">
        <v>46</v>
      </c>
      <c r="G1" t="s">
        <v>48</v>
      </c>
      <c r="H1" t="s">
        <v>49</v>
      </c>
    </row>
    <row r="2" spans="1:8" x14ac:dyDescent="0.25">
      <c r="A2" s="14">
        <v>0.10130065819711306</v>
      </c>
      <c r="B2" t="s">
        <v>42</v>
      </c>
      <c r="D2" t="s">
        <v>10</v>
      </c>
      <c r="E2" s="5">
        <v>10950000</v>
      </c>
      <c r="F2" t="s">
        <v>11</v>
      </c>
      <c r="G2" s="5">
        <v>4.752E-2</v>
      </c>
      <c r="H2" s="18" t="str">
        <f>"Price per kWh upto "&amp;E2&amp;F2</f>
        <v>Price per kWh upto 10950000kWh</v>
      </c>
    </row>
    <row r="3" spans="1:8" x14ac:dyDescent="0.25">
      <c r="A3" s="5">
        <v>2</v>
      </c>
      <c r="B3" t="s">
        <v>28</v>
      </c>
      <c r="D3" t="s">
        <v>57</v>
      </c>
      <c r="E3" s="5">
        <v>21900000</v>
      </c>
      <c r="F3" t="s">
        <v>11</v>
      </c>
      <c r="G3" s="5">
        <v>4.752E-2</v>
      </c>
      <c r="H3" s="18" t="str">
        <f>"Price per kWh Between "&amp;E2&amp;F2&amp;" and "&amp;E3&amp;F3</f>
        <v>Price per kWh Between 10950000kWh and 21900000kWh</v>
      </c>
    </row>
    <row r="4" spans="1:8" x14ac:dyDescent="0.25">
      <c r="A4" s="5">
        <v>31</v>
      </c>
      <c r="B4" t="s">
        <v>12</v>
      </c>
      <c r="D4" t="s">
        <v>56</v>
      </c>
      <c r="G4" s="5">
        <v>4.752E-2</v>
      </c>
      <c r="H4" s="18" t="str">
        <f>"Price per kWh above "&amp;E3&amp;F3</f>
        <v>Price per kWh above 21900000kWh</v>
      </c>
    </row>
    <row r="5" spans="1:8" x14ac:dyDescent="0.25">
      <c r="A5" s="7">
        <v>17000</v>
      </c>
      <c r="B5" t="s">
        <v>20</v>
      </c>
      <c r="G5" s="5"/>
      <c r="H5" t="s">
        <v>14</v>
      </c>
    </row>
    <row r="6" spans="1:8" x14ac:dyDescent="0.25">
      <c r="A6" s="7">
        <v>4500</v>
      </c>
      <c r="B6" t="s">
        <v>30</v>
      </c>
      <c r="G6" s="5">
        <v>1000</v>
      </c>
      <c r="H6" t="s">
        <v>17</v>
      </c>
    </row>
    <row r="7" spans="1:8" x14ac:dyDescent="0.25">
      <c r="A7" s="8">
        <v>5</v>
      </c>
      <c r="B7" s="15" t="s">
        <v>23</v>
      </c>
    </row>
    <row r="8" spans="1:8" x14ac:dyDescent="0.25">
      <c r="A8" s="9">
        <v>1</v>
      </c>
      <c r="B8" t="s">
        <v>36</v>
      </c>
      <c r="F8" s="2"/>
      <c r="G8" s="4">
        <f>A3*MW_PerPanel*1000*24*A4/(1-A23)</f>
        <v>3760473.5999999996</v>
      </c>
      <c r="H8" t="s">
        <v>13</v>
      </c>
    </row>
    <row r="9" spans="1:8" x14ac:dyDescent="0.25">
      <c r="A9" s="7">
        <v>50000</v>
      </c>
      <c r="B9" s="15" t="s">
        <v>37</v>
      </c>
      <c r="F9" t="s">
        <v>15</v>
      </c>
      <c r="G9" s="4">
        <f>IF(G8&lt;E2,G8*G2,E2*G2+IF(G8&gt;E3,(E3-E2)*G3+(G8-E3)*G4,(G8-E2)*G3))</f>
        <v>178697.70547199997</v>
      </c>
      <c r="H9" s="11">
        <f>G9/G12</f>
        <v>0.99443509867099655</v>
      </c>
    </row>
    <row r="10" spans="1:8" x14ac:dyDescent="0.25">
      <c r="F10" t="s">
        <v>16</v>
      </c>
      <c r="G10" s="4">
        <f>G5*A3*1000</f>
        <v>0</v>
      </c>
      <c r="H10" s="11">
        <f>G10/G12</f>
        <v>0</v>
      </c>
    </row>
    <row r="11" spans="1:8" x14ac:dyDescent="0.25">
      <c r="A11" s="7">
        <v>500000</v>
      </c>
      <c r="B11" t="s">
        <v>24</v>
      </c>
      <c r="F11" t="s">
        <v>55</v>
      </c>
      <c r="G11" s="6">
        <f>Cost_Electric_BaseCharge</f>
        <v>1000</v>
      </c>
      <c r="H11" s="11">
        <f>G6/G12</f>
        <v>5.5649013290034327E-3</v>
      </c>
    </row>
    <row r="12" spans="1:8" x14ac:dyDescent="0.25">
      <c r="A12" s="14">
        <v>0.35</v>
      </c>
      <c r="B12" s="15" t="s">
        <v>40</v>
      </c>
      <c r="F12" t="s">
        <v>38</v>
      </c>
      <c r="G12" s="4">
        <f>Cost_Electric_BaseCharge+Cost_Electric_EnergyCharge+Cost_Electric_DemandCharge</f>
        <v>179697.70547199997</v>
      </c>
      <c r="H12" s="12">
        <f>SUM(H9:H11)</f>
        <v>1</v>
      </c>
    </row>
    <row r="13" spans="1:8" x14ac:dyDescent="0.25">
      <c r="A13" s="5">
        <v>110</v>
      </c>
      <c r="B13" t="s">
        <v>19</v>
      </c>
      <c r="G13" s="6">
        <f>A17*A21</f>
        <v>351</v>
      </c>
      <c r="H13" t="s">
        <v>58</v>
      </c>
    </row>
    <row r="14" spans="1:8" x14ac:dyDescent="0.25">
      <c r="A14" s="14">
        <v>1</v>
      </c>
      <c r="B14" s="15" t="s">
        <v>61</v>
      </c>
      <c r="G14" s="6">
        <f>G13/0.7/2</f>
        <v>250.71428571428572</v>
      </c>
      <c r="H14" t="s">
        <v>59</v>
      </c>
    </row>
    <row r="15" spans="1:8" x14ac:dyDescent="0.25">
      <c r="A15" s="5">
        <v>9.2900000000000008E-6</v>
      </c>
      <c r="B15" t="s">
        <v>18</v>
      </c>
      <c r="D15">
        <f>G13*240</f>
        <v>84240</v>
      </c>
      <c r="E15">
        <f>D15/1000</f>
        <v>84.24</v>
      </c>
      <c r="G15" s="6">
        <f>$A$21*$A$22*A17/1000</f>
        <v>84.24</v>
      </c>
      <c r="H15" t="s">
        <v>51</v>
      </c>
    </row>
    <row r="16" spans="1:8" x14ac:dyDescent="0.25">
      <c r="A16" s="5">
        <v>12</v>
      </c>
      <c r="B16" t="s">
        <v>45</v>
      </c>
      <c r="E16">
        <f>2500/E15</f>
        <v>29.677113010446345</v>
      </c>
      <c r="G16" s="6">
        <f>G15/1000</f>
        <v>8.4239999999999995E-2</v>
      </c>
      <c r="H16" t="s">
        <v>50</v>
      </c>
    </row>
    <row r="17" spans="1:11" x14ac:dyDescent="0.25">
      <c r="A17" s="5">
        <v>27</v>
      </c>
      <c r="B17" t="s">
        <v>34</v>
      </c>
      <c r="G17" s="6">
        <f>$A$21*$A$22*Miners_Per_System*A3/1000</f>
        <v>2021.76</v>
      </c>
      <c r="H17" t="s">
        <v>53</v>
      </c>
    </row>
    <row r="18" spans="1:11" x14ac:dyDescent="0.25">
      <c r="A18" s="6">
        <f>A17*A16</f>
        <v>324</v>
      </c>
      <c r="B18" t="s">
        <v>32</v>
      </c>
      <c r="G18" s="17">
        <f>G17/1000</f>
        <v>2.02176</v>
      </c>
      <c r="H18" t="s">
        <v>54</v>
      </c>
      <c r="K18">
        <f>G13/A21</f>
        <v>27</v>
      </c>
    </row>
    <row r="19" spans="1:11" x14ac:dyDescent="0.25">
      <c r="A19" s="5">
        <v>1</v>
      </c>
      <c r="B19" t="s">
        <v>35</v>
      </c>
      <c r="G19" s="6">
        <f>Miners_Per_System*A3</f>
        <v>648</v>
      </c>
      <c r="H19" t="s">
        <v>39</v>
      </c>
    </row>
    <row r="20" spans="1:11" x14ac:dyDescent="0.25">
      <c r="A20" s="6">
        <f>A19*Panels</f>
        <v>12</v>
      </c>
      <c r="B20" t="s">
        <v>60</v>
      </c>
      <c r="G20" s="6">
        <f>A13*A15*A14</f>
        <v>1.0219000000000001E-3</v>
      </c>
      <c r="H20" t="s">
        <v>21</v>
      </c>
    </row>
    <row r="21" spans="1:11" x14ac:dyDescent="0.25">
      <c r="A21" s="5">
        <v>13</v>
      </c>
      <c r="B21" t="s">
        <v>44</v>
      </c>
      <c r="G21" s="6">
        <f>G20*A18*A3</f>
        <v>0.66219120000000009</v>
      </c>
      <c r="H21" t="s">
        <v>22</v>
      </c>
    </row>
    <row r="22" spans="1:11" x14ac:dyDescent="0.25">
      <c r="A22" s="5">
        <v>240</v>
      </c>
      <c r="B22" t="s">
        <v>0</v>
      </c>
      <c r="G22" s="6">
        <f>A5*G21*A4</f>
        <v>348974.76240000001</v>
      </c>
      <c r="H22" t="s">
        <v>43</v>
      </c>
    </row>
    <row r="23" spans="1:11" x14ac:dyDescent="0.25">
      <c r="A23" s="13">
        <v>0.2</v>
      </c>
      <c r="B23" s="15" t="s">
        <v>52</v>
      </c>
      <c r="G23" s="6">
        <f>Panels*(CU_150KVA*TransformersPerPanel+Cost_CustULPanel)+Miners_Per_System*Cost_Miner</f>
        <v>1656492</v>
      </c>
      <c r="H23" t="s">
        <v>29</v>
      </c>
    </row>
    <row r="24" spans="1:11" x14ac:dyDescent="0.25">
      <c r="G24" s="16">
        <f>G23/(1-A12)</f>
        <v>2548449.2307692305</v>
      </c>
      <c r="H24" t="s">
        <v>41</v>
      </c>
    </row>
    <row r="25" spans="1:11" x14ac:dyDescent="0.25">
      <c r="G25" s="6">
        <f>A11+G24*A3</f>
        <v>5596898.461538461</v>
      </c>
      <c r="H25" t="s">
        <v>27</v>
      </c>
    </row>
    <row r="26" spans="1:11" x14ac:dyDescent="0.25">
      <c r="G26" s="10">
        <f>PMT(A2/12,A7*12,G25)</f>
        <v>-119276.05700715237</v>
      </c>
      <c r="H26" t="s">
        <v>26</v>
      </c>
    </row>
    <row r="27" spans="1:11" x14ac:dyDescent="0.25">
      <c r="C27" t="s">
        <v>62</v>
      </c>
      <c r="G27" s="10">
        <f>-G12</f>
        <v>-179697.70547199997</v>
      </c>
      <c r="H27" t="s">
        <v>25</v>
      </c>
    </row>
    <row r="28" spans="1:11" x14ac:dyDescent="0.25">
      <c r="C28" t="s">
        <v>63</v>
      </c>
    </row>
    <row r="31" spans="1:11" x14ac:dyDescent="0.25">
      <c r="A31" t="s">
        <v>64</v>
      </c>
      <c r="B31">
        <v>175000</v>
      </c>
    </row>
    <row r="32" spans="1:11" x14ac:dyDescent="0.25">
      <c r="A32" t="s">
        <v>4</v>
      </c>
      <c r="B32">
        <v>2789</v>
      </c>
      <c r="C32" t="s">
        <v>1</v>
      </c>
    </row>
    <row r="33" spans="1:11" x14ac:dyDescent="0.25">
      <c r="A33" t="s">
        <v>6</v>
      </c>
      <c r="B33" s="1">
        <v>3946</v>
      </c>
      <c r="C33" t="s">
        <v>5</v>
      </c>
    </row>
    <row r="34" spans="1:11" x14ac:dyDescent="0.25">
      <c r="A34" s="1" t="s">
        <v>3</v>
      </c>
      <c r="B34" s="1">
        <v>4975</v>
      </c>
      <c r="C34" t="s">
        <v>2</v>
      </c>
    </row>
    <row r="35" spans="1:11" x14ac:dyDescent="0.25">
      <c r="A35" t="s">
        <v>4</v>
      </c>
      <c r="B35">
        <v>5125</v>
      </c>
      <c r="C35" t="s">
        <v>7</v>
      </c>
    </row>
    <row r="36" spans="1:11" x14ac:dyDescent="0.25">
      <c r="A36" t="s">
        <v>6</v>
      </c>
      <c r="B36" s="1">
        <v>6454</v>
      </c>
      <c r="C36" t="s">
        <v>8</v>
      </c>
      <c r="K36" t="s">
        <v>14</v>
      </c>
    </row>
    <row r="37" spans="1:11" x14ac:dyDescent="0.25">
      <c r="A37" s="1" t="s">
        <v>3</v>
      </c>
      <c r="B37">
        <v>8541</v>
      </c>
      <c r="C37" t="s">
        <v>9</v>
      </c>
    </row>
    <row r="38" spans="1:11" x14ac:dyDescent="0.25">
      <c r="A38" t="s">
        <v>31</v>
      </c>
      <c r="B38">
        <v>8000</v>
      </c>
    </row>
    <row r="50" spans="2:2" x14ac:dyDescent="0.25">
      <c r="B50" s="2"/>
    </row>
    <row r="51" spans="2:2" x14ac:dyDescent="0.25">
      <c r="B51" s="2"/>
    </row>
    <row r="52" spans="2:2" x14ac:dyDescent="0.25">
      <c r="B52" s="3"/>
    </row>
  </sheetData>
  <conditionalFormatting sqref="A5 A7 A2">
    <cfRule type="expression" dxfId="5" priority="12">
      <formula>IF(Net_Cashflow_Monthly&lt;0,TRUE(),FALSE())</formula>
    </cfRule>
  </conditionalFormatting>
  <conditionalFormatting sqref="A11">
    <cfRule type="expression" dxfId="4" priority="6">
      <formula>IF(Net_Cashflow_Monthly&lt;0,TRUE(),FALSE())</formula>
    </cfRule>
  </conditionalFormatting>
  <conditionalFormatting sqref="A8:A9">
    <cfRule type="expression" dxfId="3" priority="4">
      <formula>IF(Net_Cashflow_Monthly&lt;0,TRUE(),FALSE())</formula>
    </cfRule>
  </conditionalFormatting>
  <conditionalFormatting sqref="A12">
    <cfRule type="expression" dxfId="2" priority="3">
      <formula>IF(Net_Cashflow_Monthly&lt;0,TRUE(),FALSE())</formula>
    </cfRule>
  </conditionalFormatting>
  <conditionalFormatting sqref="A6">
    <cfRule type="expression" dxfId="1" priority="2">
      <formula>IF(Net_Cashflow_Monthly&lt;0,TRUE(),FALSE())</formula>
    </cfRule>
  </conditionalFormatting>
  <conditionalFormatting sqref="A14">
    <cfRule type="expression" dxfId="0" priority="1">
      <formula>IF(Net_Cashflow_Monthly&lt;0,TRUE(),FALSE())</formula>
    </cfRule>
  </conditionalFormatting>
  <pageMargins left="0.7" right="0.7" top="0.75" bottom="0.75" header="0.3" footer="0.3"/>
  <pageSetup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Goalseek0">
                <anchor moveWithCells="1" sizeWithCells="1">
                  <from>
                    <xdr:col>2</xdr:col>
                    <xdr:colOff>438150</xdr:colOff>
                    <xdr:row>5</xdr:row>
                    <xdr:rowOff>114300</xdr:rowOff>
                  </from>
                  <to>
                    <xdr:col>2</xdr:col>
                    <xdr:colOff>2143125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9CD4C5EABD0F4DACBBD2D9CBF435F8" ma:contentTypeVersion="18" ma:contentTypeDescription="Create a new document." ma:contentTypeScope="" ma:versionID="8fcb4ee1dbc46a11f73d63ce4d29a40a">
  <xsd:schema xmlns:xsd="http://www.w3.org/2001/XMLSchema" xmlns:xs="http://www.w3.org/2001/XMLSchema" xmlns:p="http://schemas.microsoft.com/office/2006/metadata/properties" xmlns:ns2="5c2d6e01-838b-48e1-acef-39935d7c4076" xmlns:ns3="7176d8be-3656-4980-bf7e-37dedbf755bd" targetNamespace="http://schemas.microsoft.com/office/2006/metadata/properties" ma:root="true" ma:fieldsID="cb2ef4fdf8f0486282b9cf63287fedba" ns2:_="" ns3:_="">
    <xsd:import namespace="5c2d6e01-838b-48e1-acef-39935d7c4076"/>
    <xsd:import namespace="7176d8be-3656-4980-bf7e-37dedbf755b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2d6e01-838b-48e1-acef-39935d7c40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591c4749-7128-4ab6-abe6-e37196bc730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76d8be-3656-4980-bf7e-37dedbf755bd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3087c0c-67d2-4508-96c9-2b540fd20a73}" ma:internalName="TaxCatchAll" ma:showField="CatchAllData" ma:web="7176d8be-3656-4980-bf7e-37dedbf755b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c2d6e01-838b-48e1-acef-39935d7c4076">
      <Terms xmlns="http://schemas.microsoft.com/office/infopath/2007/PartnerControls"/>
    </lcf76f155ced4ddcb4097134ff3c332f>
    <TaxCatchAll xmlns="7176d8be-3656-4980-bf7e-37dedbf755bd" xsi:nil="true"/>
  </documentManagement>
</p:properties>
</file>

<file path=customXml/itemProps1.xml><?xml version="1.0" encoding="utf-8"?>
<ds:datastoreItem xmlns:ds="http://schemas.openxmlformats.org/officeDocument/2006/customXml" ds:itemID="{A863C7E0-9E0B-4790-9922-F0466426EA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C518F67-369C-486D-A2CE-8FC2EB1DB4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2d6e01-838b-48e1-acef-39935d7c4076"/>
    <ds:schemaRef ds:uri="7176d8be-3656-4980-bf7e-37dedbf755b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33EF6C1-99F9-4D25-8964-7735DB525EC9}">
  <ds:schemaRefs>
    <ds:schemaRef ds:uri="http://schemas.microsoft.com/office/2006/metadata/properties"/>
    <ds:schemaRef ds:uri="http://schemas.microsoft.com/office/infopath/2007/PartnerControls"/>
    <ds:schemaRef ds:uri="5c2d6e01-838b-48e1-acef-39935d7c4076"/>
    <ds:schemaRef ds:uri="7176d8be-3656-4980-bf7e-37dedbf755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13</vt:i4>
      </vt:variant>
    </vt:vector>
  </HeadingPairs>
  <TitlesOfParts>
    <vt:vector size="14" baseType="lpstr">
      <vt:lpstr>Sheet1</vt:lpstr>
      <vt:lpstr>Cost_CustULPanel</vt:lpstr>
      <vt:lpstr>Cost_Electric_BaseCharge</vt:lpstr>
      <vt:lpstr>Cost_Electric_DemandCharge</vt:lpstr>
      <vt:lpstr>Cost_Electric_EnergyCharge</vt:lpstr>
      <vt:lpstr>Cost_Miner</vt:lpstr>
      <vt:lpstr>CU_150KVA</vt:lpstr>
      <vt:lpstr>DCFROR</vt:lpstr>
      <vt:lpstr>Miners_Per_System</vt:lpstr>
      <vt:lpstr>MW_PerPanel</vt:lpstr>
      <vt:lpstr>Net_Cashflow_Monthly</vt:lpstr>
      <vt:lpstr>Panels</vt:lpstr>
      <vt:lpstr>Transformer_3000KVA_Line13.8V_480V</vt:lpstr>
      <vt:lpstr>TransformersPerPanel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Slaughter</dc:creator>
  <cp:lastModifiedBy>Joe Slaughter</cp:lastModifiedBy>
  <dcterms:created xsi:type="dcterms:W3CDTF">2022-07-14T17:26:27Z</dcterms:created>
  <dcterms:modified xsi:type="dcterms:W3CDTF">2025-10-20T12:20:50Z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0x010100FD9CD4C5EABD0F4DACBBD2D9CBF435F8</vt:lpwstr>
  </property>
  <property fmtid="{D5CDD505-2E9C-101B-9397-08002B2CF9AE}" pid="3" name="MediaServiceImageTags">
    <vt:lpwstr/>
  </property>
</Properties>
</file>